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pacity Model" sheetId="1" state="visible" r:id="rId3"/>
    <sheet name="2026 Market Benchmarks" sheetId="2" state="visible" r:id="rId4"/>
    <sheet name="Activity Model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<sst xmlns="http://schemas.openxmlformats.org/spreadsheetml/2006/main" count="141" uniqueCount="131">
  <si>
    <t xml:space="preserve">SALES CAPACITY MODEL: $1.2M TO $7.0M ARR IN 12 MONTHS</t>
  </si>
  <si>
    <t xml:space="preserve">Hypothetical AI scale-up. Hire months (blue) are the levers; everything recalculates. Built by Andrew Wesbecher.</t>
  </si>
  <si>
    <t xml:space="preserve">ASSUMPTIONS (edit blue cells)</t>
  </si>
  <si>
    <t xml:space="preserve">BOOKINGS RAMP PER HIRE</t>
  </si>
  <si>
    <t xml:space="preserve">Starting ARR</t>
  </si>
  <si>
    <t xml:space="preserve">Period</t>
  </si>
  <si>
    <t xml:space="preserve">Monthly</t>
  </si>
  <si>
    <t xml:space="preserve">90-day total</t>
  </si>
  <si>
    <t xml:space="preserve">Median new-logo deal (ACV)</t>
  </si>
  <si>
    <t xml:space="preserve">1st 90 days</t>
  </si>
  <si>
    <t xml:space="preserve">Rep steady-state bookings capacity ($/yr)</t>
  </si>
  <si>
    <t xml:space="preserve">2nd 90 days</t>
  </si>
  <si>
    <t xml:space="preserve">Team failure haircut (% of gross new-logo)</t>
  </si>
  <si>
    <t xml:space="preserve">3rd 90 days</t>
  </si>
  <si>
    <t xml:space="preserve">Expansion bookings, installed base ($/yr)</t>
  </si>
  <si>
    <t xml:space="preserve">4th 90 days+</t>
  </si>
  <si>
    <t xml:space="preserve">Churn &amp; contraction ($/yr)</t>
  </si>
  <si>
    <t xml:space="preserve">Year-1 yield, month-1 hire</t>
  </si>
  <si>
    <t xml:space="preserve">Source: ramp blocks mirror a 90-day onboarding, first pipeline maturing in Q2, full run rate in month 10.</t>
  </si>
  <si>
    <t xml:space="preserve">MONTH</t>
  </si>
  <si>
    <t xml:space="preserve">Ramp vector ($/mo by tenure month)</t>
  </si>
  <si>
    <t xml:space="preserve">SEAT-BY-SEAT CAPACITY GRID (bookings $ per month)</t>
  </si>
  <si>
    <t xml:space="preserve">Seat</t>
  </si>
  <si>
    <t xml:space="preserve">Status</t>
  </si>
  <si>
    <t xml:space="preserve">Hire mo.</t>
  </si>
  <si>
    <t xml:space="preserve">M1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</si>
  <si>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</si>
  <si>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</si>
  <si>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</si>
  <si>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</si>
  <si>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</si>
  <si>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M7</t>
  </si>
  <si>
    <t xml:space="preserve">M8</t>
  </si>
  <si>
    <t xml:space="preserve">M9</t>
  </si>
  <si>
    <t xml:space="preserve">M10</t>
  </si>
  <si>
    <t xml:space="preserve">M11</t>
  </si>
  <si>
    <t xml:space="preserve">M12</t>
  </si>
  <si>
    <t xml:space="preserve">Year 1</t>
  </si>
  <si>
    <t xml:space="preserve">In-yr base comp</t>
  </si>
  <si>
    <t xml:space="preserve">Rep A</t>
  </si>
  <si>
    <t xml:space="preserve">Carried in, fully ramped</t>
  </si>
  <si>
    <t xml:space="preserve">Rep B</t>
  </si>
  <si>
    <t xml:space="preserve">Rep C</t>
  </si>
  <si>
    <t xml:space="preserve">Carried in, hired prior Oct</t>
  </si>
  <si>
    <t xml:space="preserve">Rep D</t>
  </si>
  <si>
    <t xml:space="preserve">Carried in, hired prior Nov</t>
  </si>
  <si>
    <t xml:space="preserve">Rep E</t>
  </si>
  <si>
    <t xml:space="preserve">New hire</t>
  </si>
  <si>
    <t xml:space="preserve">Rep F</t>
  </si>
  <si>
    <t xml:space="preserve">Rep G</t>
  </si>
  <si>
    <t xml:space="preserve">Rep H</t>
  </si>
  <si>
    <t xml:space="preserve">Rep I</t>
  </si>
  <si>
    <t xml:space="preserve">Rep J</t>
  </si>
  <si>
    <t xml:space="preserve">Rep K</t>
  </si>
  <si>
    <t xml:space="preserve">Rep L</t>
  </si>
  <si>
    <t xml:space="preserve">Monthly new-logo bookings</t>
  </si>
  <si>
    <t xml:space="preserve">FROM CAPACITY TO EXIT ARR</t>
  </si>
  <si>
    <t xml:space="preserve">Gross new-logo bookings capacity</t>
  </si>
  <si>
    <t xml:space="preserve">Team failure haircut</t>
  </si>
  <si>
    <t xml:space="preserve">Net new-logo bookings (committed ARR)</t>
  </si>
  <si>
    <t xml:space="preserve">New logos won (at median deal)</t>
  </si>
  <si>
    <t xml:space="preserve">Expansion bookings</t>
  </si>
  <si>
    <t xml:space="preserve">Churn &amp; contraction</t>
  </si>
  <si>
    <t xml:space="preserve">Net new ARR</t>
  </si>
  <si>
    <t xml:space="preserve">EXIT ARR</t>
  </si>
  <si>
    <t xml:space="preserve">Exit-month gross run rate (annualized)</t>
  </si>
  <si>
    <t xml:space="preserve">In-year AE comp (base + variable at modeled production)</t>
  </si>
  <si>
    <t xml:space="preserve">Variable comp modeled at 16.5% of net new-logo bookings ($165K variable / $1.0M capacity).</t>
  </si>
  <si>
    <t xml:space="preserve">LEGEND</t>
  </si>
  <si>
    <t xml:space="preserve">Blue cells = inputs you edit (assumptions, ramp, hire months). Black = formulas. Yellow = the assumption most plans skip.</t>
  </si>
  <si>
    <t xml:space="preserve">Example: push Rep L's hire month from 7 to 9 and watch Year 1 drop by $84K. Hiring dates are the plan.</t>
  </si>
  <si>
    <t xml:space="preserve">REAL-WORLD BENCHMARKS: 2026 CLOUD SALES MARKET &amp; INDUSTRY DATA</t>
  </si>
  <si>
    <t xml:space="preserve">252 cloud sales organizations, ~58,500 ratings from quota-carrying sales professionals. Compiled from public cloud-industry sales index reporting, Q2 2026.</t>
  </si>
  <si>
    <t xml:space="preserve">Metric</t>
  </si>
  <si>
    <t xml:space="preserve">Value</t>
  </si>
  <si>
    <t xml:space="preserve">What it means for this model</t>
  </si>
  <si>
    <t xml:space="preserve">Median quota attainment, all cloud</t>
  </si>
  <si>
    <t xml:space="preserve">43.60%</t>
  </si>
  <si>
    <t xml:space="preserve">Planning reps at 100% of quota is fantasy. Model production, then haircut the team 30%.</t>
  </si>
  <si>
    <t xml:space="preserve">Quota attainment, Cybersecurity</t>
  </si>
  <si>
    <t xml:space="preserve">40.26% (best in years, +7.45% YoY)</t>
  </si>
  <si>
    <t xml:space="preserve">AI security sells into the hardest attainment segment in the index. Conservatism is not optional.</t>
  </si>
  <si>
    <t xml:space="preserve">Quota attainment, Data &amp; AI</t>
  </si>
  <si>
    <t xml:space="preserve">49.74%</t>
  </si>
  <si>
    <t xml:space="preserve">The strongest segment still misses quota half the time.</t>
  </si>
  <si>
    <t xml:space="preserve">Attainment, $100K-$200K deals</t>
  </si>
  <si>
    <t xml:space="preserve">44.05%</t>
  </si>
  <si>
    <t xml:space="preserve">Our $120K median deal sits in this bucket.</t>
  </si>
  <si>
    <t xml:space="preserve">Sales cycle, $100K-$200K deals</t>
  </si>
  <si>
    <t xml:space="preserve">178.3 days (-3.69% YoY)</t>
  </si>
  <si>
    <t xml:space="preserve">A ~6-month cycle plus a 90-day ramp means a month-7 hire cannot touch this year's number.</t>
  </si>
  <si>
    <t xml:space="preserve">Sales cycle, $200K+ deals</t>
  </si>
  <si>
    <t xml:space="preserve">225.3 days</t>
  </si>
  <si>
    <t xml:space="preserve">Up-market land deals need 2+ quarters of runway before close.</t>
  </si>
  <si>
    <t xml:space="preserve">Inbound leadflow sentiment</t>
  </si>
  <si>
    <t xml:space="preserve">2.65, lowest in index history</t>
  </si>
  <si>
    <t xml:space="preserve">Capacity without manufactured pipeline is idle payroll. Every seat ships with a PG quota.</t>
  </si>
  <si>
    <t xml:space="preserve">Enterprise avg deal size</t>
  </si>
  <si>
    <t xml:space="preserve">$212,137 (+14.71% YoY)</t>
  </si>
  <si>
    <t xml:space="preserve">ACVs are inflating; the $120K median has headroom as the motion moves up-market.</t>
  </si>
  <si>
    <t xml:space="preserve">ACTIVITY MODEL: WHAT ONE RAMPED SEAT HAS TO DO TO PRODUCE $600K</t>
  </si>
  <si>
    <t xml:space="preserve">Locked at the $120K median deal. Change the ACV or a conversion rate and the whole cadence repriced.</t>
  </si>
  <si>
    <t xml:space="preserve">LOCKED INPUTS (pulled from the capacity model)</t>
  </si>
  <si>
    <t xml:space="preserve">Year-1 yield per ramped seat</t>
  </si>
  <si>
    <t xml:space="preserve">New logos required in year one</t>
  </si>
  <si>
    <t xml:space="preserve">CONVERSION RATES (nine-stage system, edit blue)</t>
  </si>
  <si>
    <t xml:space="preserve">Discovery meeting (S0) → qualified opp (S2)</t>
  </si>
  <si>
    <t xml:space="preserve">Qualified opp (S2) → POV started</t>
  </si>
  <si>
    <t xml:space="preserve">POV started → closed-won</t>
  </si>
  <si>
    <t xml:space="preserve">Compounded: meeting → closed-won</t>
  </si>
  <si>
    <t xml:space="preserve">REQUIRED ACTIVITY</t>
  </si>
  <si>
    <t xml:space="preserve">Discovery meetings at zero cushion</t>
  </si>
  <si>
    <t xml:space="preserve">Planned meeting quota (the number you manage to)</t>
  </si>
  <si>
    <t xml:space="preserve">Coverage cushion</t>
  </si>
  <si>
    <t xml:space="preserve">Selling weeks per year</t>
  </si>
  <si>
    <t xml:space="preserve">THE FUNNEL, FORWARD FROM THE PLANNED QUOTA</t>
  </si>
  <si>
    <t xml:space="preserve">Activity, per ramped seat</t>
  </si>
  <si>
    <t xml:space="preserve">Annual</t>
  </si>
  <si>
    <t xml:space="preserve">Per quarter</t>
  </si>
  <si>
    <t xml:space="preserve">Per month</t>
  </si>
  <si>
    <t xml:space="preserve">Per week</t>
  </si>
  <si>
    <t xml:space="preserve">New discovery meetings (S0)</t>
  </si>
  <si>
    <t xml:space="preserve">Qualified opportunities (S2)</t>
  </si>
  <si>
    <t xml:space="preserve">POVs started</t>
  </si>
  <si>
    <t xml:space="preserve">Closed-won new logos</t>
  </si>
  <si>
    <t xml:space="preserve">Bookings produced</t>
  </si>
  <si>
    <t xml:space="preserve">vs. $600K year-1 yield</t>
  </si>
  <si>
    <t xml:space="preserve">surplus</t>
  </si>
  <si>
    <t xml:space="preserve">Three net-new meetings a week per seat is exactly the pod's dual PG quota: the AE self-sources one, the paired BDR delivers two.</t>
  </si>
  <si>
    <t xml:space="preserve">The capacity model and the activity system are the same machine. If weekly meetings run under 3, the seat misses its year before the pipeline ever shows it.</t>
  </si>
  <si>
    <t xml:space="preserve">Sensitivity: at a $75K ACV the same $600K needs 8 logos and ~229 meetings (nearly 5 a week). ACV is the cheapest lever in the model.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</si>
</sst>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$#,##0;&quot;($&quot;#,##0\);\–"/>
    <numFmt numFmtId="166" formatCode="0%"/>
    <numFmt numFmtId="167" formatCode="0"/>
    <numFmt numFmtId="168" formatCode="0.0"/>
    <numFmt numFmtId="169" formatCode="0.00%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000000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sz val="9"/>
      <color rgb="FF0000FF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8"/>
      <color rgb="FF666666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8"/>
      <color rgb="FF555555"/>
      <name val="Arial"/>
      <family val="0"/>
      <charset val="1"/>
    </font>
    <font>
      <sz val="8.5"/>
      <color rgb="FF000000"/>
      <name val="Arial"/>
      <family val="0"/>
      <charset val="1"/>
    </font>
    <font>
      <sz val="8.5"/>
      <color rgb="FF555555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.5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EEF1FD"/>
        <bgColor rgb="FFF6F7FA"/>
      </patternFill>
    </fill>
    <fill>
      <patternFill patternType="solid">
        <fgColor rgb="FFFFFF00"/>
        <bgColor rgb="FFFFFF00"/>
      </patternFill>
    </fill>
    <fill>
      <patternFill patternType="solid">
        <fgColor rgb="FF0A0A0A"/>
        <bgColor rgb="FF000000"/>
      </patternFill>
    </fill>
    <fill>
      <patternFill patternType="solid">
        <fgColor rgb="FFF6F7FA"/>
        <bgColor rgb="FFEEF1F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DE6"/>
      </left>
      <right style="thin">
        <color rgb="FFD9DDE6"/>
      </right>
      <top style="thin">
        <color rgb="FFD9DDE6"/>
      </top>
      <bottom style="thin">
        <color rgb="FFD9DD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8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5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7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8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9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7FA"/>
      <rgbColor rgb="FFEEF1FD"/>
      <rgbColor rgb="FF660066"/>
      <rgbColor rgb="FFFF8080"/>
      <rgbColor rgb="FF0066CC"/>
      <rgbColor rgb="FFD9DD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A0A0A"/>
      <rgbColor rgb="FF333300"/>
      <rgbColor rgb="FF993300"/>
      <rgbColor rgb="FF993366"/>
      <rgbColor rgb="FF333399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19" topLeftCell="D20" activePane="bottomRight" state="frozen"/>
      <selection pane="topLeft" activeCell="A1" activeCellId="0" sqref="A1"/>
      <selection pane="topRight" activeCell="D1" activeCellId="0" sqref="D1"/>
      <selection pane="bottomLeft" activeCell="A20" activeCellId="0" sqref="A2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24"/>
    <col collapsed="false" customWidth="true" hidden="false" outlineLevel="0" max="3" min="3" style="0" width="9"/>
    <col collapsed="false" customWidth="true" hidden="false" outlineLevel="0" max="15" min="4" style="0" width="10"/>
    <col collapsed="false" customWidth="true" hidden="false" outlineLevel="0" max="16" min="16" style="0" width="12"/>
    <col collapsed="false" customWidth="true" hidden="false" outlineLevel="0" max="17" min="17" style="0" width="13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E4" s="3" t="s">
        <v>3</v>
      </c>
    </row>
    <row r="5" customFormat="false" ht="15" hidden="false" customHeight="false" outlineLevel="0" collapsed="false">
      <c r="A5" s="4" t="s">
        <v>4</v>
      </c>
      <c r="B5" s="5" t="n">
        <v>1200000</v>
      </c>
      <c r="E5" s="6" t="s">
        <v>5</v>
      </c>
      <c r="F5" s="7" t="s">
        <v>6</v>
      </c>
      <c r="G5" s="7" t="s">
        <v>7</v>
      </c>
    </row>
    <row r="6" customFormat="false" ht="15" hidden="false" customHeight="false" outlineLevel="0" collapsed="false">
      <c r="A6" s="4" t="s">
        <v>8</v>
      </c>
      <c r="B6" s="5" t="n">
        <v>120000</v>
      </c>
      <c r="E6" s="4" t="s">
        <v>9</v>
      </c>
      <c r="F6" s="5" t="n">
        <v>0</v>
      </c>
      <c r="G6" s="8" t="n">
        <f aca="false">F6*3</f>
        <v>0</v>
      </c>
    </row>
    <row r="7" customFormat="false" ht="15" hidden="false" customHeight="false" outlineLevel="0" collapsed="false">
      <c r="A7" s="4" t="s">
        <v>10</v>
      </c>
      <c r="B7" s="5" t="n">
        <v>1000000</v>
      </c>
      <c r="E7" s="4" t="s">
        <v>11</v>
      </c>
      <c r="F7" s="5" t="n">
        <v>41667</v>
      </c>
      <c r="G7" s="8" t="n">
        <f aca="false">F7*3</f>
        <v>125001</v>
      </c>
    </row>
    <row r="8" customFormat="false" ht="15" hidden="false" customHeight="false" outlineLevel="0" collapsed="false">
      <c r="A8" s="4" t="s">
        <v>12</v>
      </c>
      <c r="B8" s="9" t="n">
        <v>0.3</v>
      </c>
      <c r="E8" s="4" t="s">
        <v>13</v>
      </c>
      <c r="F8" s="5" t="n">
        <v>75000</v>
      </c>
      <c r="G8" s="8" t="n">
        <f aca="false">F8*3</f>
        <v>225000</v>
      </c>
    </row>
    <row r="9" customFormat="false" ht="15" hidden="false" customHeight="false" outlineLevel="0" collapsed="false">
      <c r="A9" s="4" t="s">
        <v>14</v>
      </c>
      <c r="B9" s="5" t="n">
        <v>1000000</v>
      </c>
      <c r="E9" s="4" t="s">
        <v>15</v>
      </c>
      <c r="F9" s="5" t="n">
        <v>83333</v>
      </c>
      <c r="G9" s="8" t="n">
        <f aca="false">F9*3</f>
        <v>249999</v>
      </c>
    </row>
    <row r="10" customFormat="false" ht="15" hidden="false" customHeight="false" outlineLevel="0" collapsed="false">
      <c r="A10" s="4" t="s">
        <v>16</v>
      </c>
      <c r="B10" s="5" t="n">
        <v>-70000</v>
      </c>
      <c r="E10" s="6" t="s">
        <v>17</v>
      </c>
      <c r="F10" s="10" t="n">
        <f aca="false">SUM(G6:G9)</f>
        <v>600000</v>
      </c>
    </row>
    <row r="11" customFormat="false" ht="15" hidden="false" customHeight="false" outlineLevel="0" collapsed="false">
      <c r="E11" s="11" t="s">
        <v>18</v>
      </c>
    </row>
    <row r="15" customFormat="false" ht="15" hidden="false" customHeight="false" outlineLevel="0" collapsed="false">
      <c r="C15" s="12" t="s">
        <v>19</v>
      </c>
      <c r="D15" s="13" t="n">
        <v>1</v>
      </c>
      <c r="E15" s="13" t="n">
        <v>2</v>
      </c>
      <c r="F15" s="13" t="n">
        <v>3</v>
      </c>
      <c r="G15" s="13" t="n">
        <v>4</v>
      </c>
      <c r="H15" s="13" t="n">
        <v>5</v>
      </c>
      <c r="I15" s="13" t="n">
        <v>6</v>
      </c>
      <c r="J15" s="13" t="n">
        <v>7</v>
      </c>
      <c r="K15" s="13" t="n">
        <v>8</v>
      </c>
      <c r="L15" s="13" t="n">
        <v>9</v>
      </c>
      <c r="M15" s="13" t="n">
        <v>10</v>
      </c>
      <c r="N15" s="13" t="n">
        <v>11</v>
      </c>
      <c r="O15" s="13" t="n">
        <v>12</v>
      </c>
    </row>
    <row r="16" customFormat="false" ht="15" hidden="false" customHeight="false" outlineLevel="0" collapsed="false">
      <c r="C16" s="14" t="s">
        <v>20</v>
      </c>
      <c r="D16" s="15" t="n">
        <f aca="false">$F$6</f>
        <v>0</v>
      </c>
      <c r="E16" s="15" t="n">
        <f aca="false">$F$6</f>
        <v>0</v>
      </c>
      <c r="F16" s="15" t="n">
        <f aca="false">$F$6</f>
        <v>0</v>
      </c>
      <c r="G16" s="15" t="n">
        <f aca="false">$F$7</f>
        <v>41667</v>
      </c>
      <c r="H16" s="15" t="n">
        <f aca="false">$F$7</f>
        <v>41667</v>
      </c>
      <c r="I16" s="15" t="n">
        <f aca="false">$F$7</f>
        <v>41667</v>
      </c>
      <c r="J16" s="15" t="n">
        <f aca="false">$F$8</f>
        <v>75000</v>
      </c>
      <c r="K16" s="15" t="n">
        <f aca="false">$F$8</f>
        <v>75000</v>
      </c>
      <c r="L16" s="15" t="n">
        <f aca="false">$F$8</f>
        <v>75000</v>
      </c>
      <c r="M16" s="15" t="n">
        <f aca="false">$F$9</f>
        <v>83333</v>
      </c>
      <c r="N16" s="15" t="n">
        <f aca="false">$F$9</f>
        <v>83333</v>
      </c>
      <c r="O16" s="15" t="n">
        <f aca="false">$F$9</f>
        <v>83333</v>
      </c>
    </row>
    <row r="18" customFormat="false" ht="15" hidden="false" customHeight="false" outlineLevel="0" collapsed="false">
      <c r="A18" s="3" t="s">
        <v>21</v>
      </c>
    </row>
    <row r="19" customFormat="false" ht="15" hidden="false" customHeight="false" outlineLevel="0" collapsed="false">
      <c r="A19" s="16" t="s">
        <v>22</v>
      </c>
      <c r="B19" s="16" t="s">
        <v>23</v>
      </c>
      <c r="C19" s="13" t="s">
        <v>24</v>
      </c>
      <c r="D19" s="13" t="s">
        <v>25</v>
      </c>
      <c r="E19" s="13" t="s">
        <v>26</v>
      </c>
      <c r="F19" s="13" t="s">
        <v>27</v>
      </c>
      <c r="G19" s="13" t="s">
        <v>28</v>
      </c>
      <c r="H19" s="13" t="s">
        <v>29</v>
      </c>
      <c r="I19" s="13" t="s">
        <v>30</v>
      </c>
      <c r="J19" s="13" t="s">
        <v>31</v>
      </c>
      <c r="K19" s="13" t="s">
        <v>32</v>
      </c>
      <c r="L19" s="13" t="s">
        <v>33</v>
      </c>
      <c r="M19" s="13" t="s">
        <v>34</v>
      </c>
      <c r="N19" s="13" t="s">
        <v>35</v>
      </c>
      <c r="O19" s="13" t="s">
        <v>36</v>
      </c>
      <c r="P19" s="13" t="s">
        <v>37</v>
      </c>
      <c r="Q19" s="13" t="s">
        <v>38</v>
      </c>
    </row>
    <row r="20" customFormat="false" ht="15" hidden="false" customHeight="false" outlineLevel="0" collapsed="false">
      <c r="A20" s="17" t="s">
        <v>39</v>
      </c>
      <c r="B20" s="18" t="s">
        <v>40</v>
      </c>
      <c r="C20" s="19" t="n">
        <v>-9</v>
      </c>
      <c r="D20" s="20" t="n">
        <f aca="false">IF(D$15-$C20+1&lt;1,0,INDEX($D$16:$O$16,1,MIN(12,D$15-$C20+1)))</f>
        <v>83333</v>
      </c>
      <c r="E20" s="20" t="n">
        <f aca="false">IF(E$15-$C20+1&lt;1,0,INDEX($D$16:$O$16,1,MIN(12,E$15-$C20+1)))</f>
        <v>83333</v>
      </c>
      <c r="F20" s="20" t="n">
        <f aca="false">IF(F$15-$C20+1&lt;1,0,INDEX($D$16:$O$16,1,MIN(12,F$15-$C20+1)))</f>
        <v>83333</v>
      </c>
      <c r="G20" s="20" t="n">
        <f aca="false">IF(G$15-$C20+1&lt;1,0,INDEX($D$16:$O$16,1,MIN(12,G$15-$C20+1)))</f>
        <v>83333</v>
      </c>
      <c r="H20" s="20" t="n">
        <f aca="false">IF(H$15-$C20+1&lt;1,0,INDEX($D$16:$O$16,1,MIN(12,H$15-$C20+1)))</f>
        <v>83333</v>
      </c>
      <c r="I20" s="20" t="n">
        <f aca="false">IF(I$15-$C20+1&lt;1,0,INDEX($D$16:$O$16,1,MIN(12,I$15-$C20+1)))</f>
        <v>83333</v>
      </c>
      <c r="J20" s="20" t="n">
        <f aca="false">IF(J$15-$C20+1&lt;1,0,INDEX($D$16:$O$16,1,MIN(12,J$15-$C20+1)))</f>
        <v>83333</v>
      </c>
      <c r="K20" s="20" t="n">
        <f aca="false">IF(K$15-$C20+1&lt;1,0,INDEX($D$16:$O$16,1,MIN(12,K$15-$C20+1)))</f>
        <v>83333</v>
      </c>
      <c r="L20" s="20" t="n">
        <f aca="false">IF(L$15-$C20+1&lt;1,0,INDEX($D$16:$O$16,1,MIN(12,L$15-$C20+1)))</f>
        <v>83333</v>
      </c>
      <c r="M20" s="20" t="n">
        <f aca="false">IF(M$15-$C20+1&lt;1,0,INDEX($D$16:$O$16,1,MIN(12,M$15-$C20+1)))</f>
        <v>83333</v>
      </c>
      <c r="N20" s="20" t="n">
        <f aca="false">IF(N$15-$C20+1&lt;1,0,INDEX($D$16:$O$16,1,MIN(12,N$15-$C20+1)))</f>
        <v>83333</v>
      </c>
      <c r="O20" s="20" t="n">
        <f aca="false">IF(O$15-$C20+1&lt;1,0,INDEX($D$16:$O$16,1,MIN(12,O$15-$C20+1)))</f>
        <v>83333</v>
      </c>
      <c r="P20" s="21" t="n">
        <f aca="false">SUM(D20:O20)</f>
        <v>999996</v>
      </c>
      <c r="Q20" s="22" t="n">
        <f aca="false">IF($C20&lt;1,165000,(13-$C20)/12*165000)</f>
        <v>165000</v>
      </c>
    </row>
    <row r="21" customFormat="false" ht="15" hidden="false" customHeight="false" outlineLevel="0" collapsed="false">
      <c r="A21" s="23" t="s">
        <v>41</v>
      </c>
      <c r="B21" s="24" t="s">
        <v>40</v>
      </c>
      <c r="C21" s="25" t="n">
        <v>-9</v>
      </c>
      <c r="D21" s="26" t="n">
        <f aca="false">IF(D$15-$C21+1&lt;1,0,INDEX($D$16:$O$16,1,MIN(12,D$15-$C21+1)))</f>
        <v>83333</v>
      </c>
      <c r="E21" s="26" t="n">
        <f aca="false">IF(E$15-$C21+1&lt;1,0,INDEX($D$16:$O$16,1,MIN(12,E$15-$C21+1)))</f>
        <v>83333</v>
      </c>
      <c r="F21" s="26" t="n">
        <f aca="false">IF(F$15-$C21+1&lt;1,0,INDEX($D$16:$O$16,1,MIN(12,F$15-$C21+1)))</f>
        <v>83333</v>
      </c>
      <c r="G21" s="26" t="n">
        <f aca="false">IF(G$15-$C21+1&lt;1,0,INDEX($D$16:$O$16,1,MIN(12,G$15-$C21+1)))</f>
        <v>83333</v>
      </c>
      <c r="H21" s="26" t="n">
        <f aca="false">IF(H$15-$C21+1&lt;1,0,INDEX($D$16:$O$16,1,MIN(12,H$15-$C21+1)))</f>
        <v>83333</v>
      </c>
      <c r="I21" s="26" t="n">
        <f aca="false">IF(I$15-$C21+1&lt;1,0,INDEX($D$16:$O$16,1,MIN(12,I$15-$C21+1)))</f>
        <v>83333</v>
      </c>
      <c r="J21" s="26" t="n">
        <f aca="false">IF(J$15-$C21+1&lt;1,0,INDEX($D$16:$O$16,1,MIN(12,J$15-$C21+1)))</f>
        <v>83333</v>
      </c>
      <c r="K21" s="26" t="n">
        <f aca="false">IF(K$15-$C21+1&lt;1,0,INDEX($D$16:$O$16,1,MIN(12,K$15-$C21+1)))</f>
        <v>83333</v>
      </c>
      <c r="L21" s="26" t="n">
        <f aca="false">IF(L$15-$C21+1&lt;1,0,INDEX($D$16:$O$16,1,MIN(12,L$15-$C21+1)))</f>
        <v>83333</v>
      </c>
      <c r="M21" s="26" t="n">
        <f aca="false">IF(M$15-$C21+1&lt;1,0,INDEX($D$16:$O$16,1,MIN(12,M$15-$C21+1)))</f>
        <v>83333</v>
      </c>
      <c r="N21" s="26" t="n">
        <f aca="false">IF(N$15-$C21+1&lt;1,0,INDEX($D$16:$O$16,1,MIN(12,N$15-$C21+1)))</f>
        <v>83333</v>
      </c>
      <c r="O21" s="26" t="n">
        <f aca="false">IF(O$15-$C21+1&lt;1,0,INDEX($D$16:$O$16,1,MIN(12,O$15-$C21+1)))</f>
        <v>83333</v>
      </c>
      <c r="P21" s="27" t="n">
        <f aca="false">SUM(D21:O21)</f>
        <v>999996</v>
      </c>
      <c r="Q21" s="28" t="n">
        <f aca="false">IF($C21&lt;1,165000,(13-$C21)/12*165000)</f>
        <v>165000</v>
      </c>
    </row>
    <row r="22" customFormat="false" ht="15" hidden="false" customHeight="false" outlineLevel="0" collapsed="false">
      <c r="A22" s="17" t="s">
        <v>42</v>
      </c>
      <c r="B22" s="18" t="s">
        <v>43</v>
      </c>
      <c r="C22" s="19" t="n">
        <v>-2</v>
      </c>
      <c r="D22" s="20" t="n">
        <f aca="false">IF(D$15-$C22+1&lt;1,0,INDEX($D$16:$O$16,1,MIN(12,D$15-$C22+1)))</f>
        <v>41667</v>
      </c>
      <c r="E22" s="20" t="n">
        <f aca="false">IF(E$15-$C22+1&lt;1,0,INDEX($D$16:$O$16,1,MIN(12,E$15-$C22+1)))</f>
        <v>41667</v>
      </c>
      <c r="F22" s="20" t="n">
        <f aca="false">IF(F$15-$C22+1&lt;1,0,INDEX($D$16:$O$16,1,MIN(12,F$15-$C22+1)))</f>
        <v>41667</v>
      </c>
      <c r="G22" s="20" t="n">
        <f aca="false">IF(G$15-$C22+1&lt;1,0,INDEX($D$16:$O$16,1,MIN(12,G$15-$C22+1)))</f>
        <v>75000</v>
      </c>
      <c r="H22" s="20" t="n">
        <f aca="false">IF(H$15-$C22+1&lt;1,0,INDEX($D$16:$O$16,1,MIN(12,H$15-$C22+1)))</f>
        <v>75000</v>
      </c>
      <c r="I22" s="20" t="n">
        <f aca="false">IF(I$15-$C22+1&lt;1,0,INDEX($D$16:$O$16,1,MIN(12,I$15-$C22+1)))</f>
        <v>75000</v>
      </c>
      <c r="J22" s="20" t="n">
        <f aca="false">IF(J$15-$C22+1&lt;1,0,INDEX($D$16:$O$16,1,MIN(12,J$15-$C22+1)))</f>
        <v>83333</v>
      </c>
      <c r="K22" s="20" t="n">
        <f aca="false">IF(K$15-$C22+1&lt;1,0,INDEX($D$16:$O$16,1,MIN(12,K$15-$C22+1)))</f>
        <v>83333</v>
      </c>
      <c r="L22" s="20" t="n">
        <f aca="false">IF(L$15-$C22+1&lt;1,0,INDEX($D$16:$O$16,1,MIN(12,L$15-$C22+1)))</f>
        <v>83333</v>
      </c>
      <c r="M22" s="20" t="n">
        <f aca="false">IF(M$15-$C22+1&lt;1,0,INDEX($D$16:$O$16,1,MIN(12,M$15-$C22+1)))</f>
        <v>83333</v>
      </c>
      <c r="N22" s="20" t="n">
        <f aca="false">IF(N$15-$C22+1&lt;1,0,INDEX($D$16:$O$16,1,MIN(12,N$15-$C22+1)))</f>
        <v>83333</v>
      </c>
      <c r="O22" s="20" t="n">
        <f aca="false">IF(O$15-$C22+1&lt;1,0,INDEX($D$16:$O$16,1,MIN(12,O$15-$C22+1)))</f>
        <v>83333</v>
      </c>
      <c r="P22" s="21" t="n">
        <f aca="false">SUM(D22:O22)</f>
        <v>849999</v>
      </c>
      <c r="Q22" s="22" t="n">
        <f aca="false">IF($C22&lt;1,165000,(13-$C22)/12*165000)</f>
        <v>165000</v>
      </c>
    </row>
    <row r="23" customFormat="false" ht="15" hidden="false" customHeight="false" outlineLevel="0" collapsed="false">
      <c r="A23" s="23" t="s">
        <v>44</v>
      </c>
      <c r="B23" s="24" t="s">
        <v>45</v>
      </c>
      <c r="C23" s="25" t="n">
        <v>-1</v>
      </c>
      <c r="D23" s="26" t="n">
        <f aca="false">IF(D$15-$C23+1&lt;1,0,INDEX($D$16:$O$16,1,MIN(12,D$15-$C23+1)))</f>
        <v>0</v>
      </c>
      <c r="E23" s="26" t="n">
        <f aca="false">IF(E$15-$C23+1&lt;1,0,INDEX($D$16:$O$16,1,MIN(12,E$15-$C23+1)))</f>
        <v>41667</v>
      </c>
      <c r="F23" s="26" t="n">
        <f aca="false">IF(F$15-$C23+1&lt;1,0,INDEX($D$16:$O$16,1,MIN(12,F$15-$C23+1)))</f>
        <v>41667</v>
      </c>
      <c r="G23" s="26" t="n">
        <f aca="false">IF(G$15-$C23+1&lt;1,0,INDEX($D$16:$O$16,1,MIN(12,G$15-$C23+1)))</f>
        <v>41667</v>
      </c>
      <c r="H23" s="26" t="n">
        <f aca="false">IF(H$15-$C23+1&lt;1,0,INDEX($D$16:$O$16,1,MIN(12,H$15-$C23+1)))</f>
        <v>75000</v>
      </c>
      <c r="I23" s="26" t="n">
        <f aca="false">IF(I$15-$C23+1&lt;1,0,INDEX($D$16:$O$16,1,MIN(12,I$15-$C23+1)))</f>
        <v>75000</v>
      </c>
      <c r="J23" s="26" t="n">
        <f aca="false">IF(J$15-$C23+1&lt;1,0,INDEX($D$16:$O$16,1,MIN(12,J$15-$C23+1)))</f>
        <v>75000</v>
      </c>
      <c r="K23" s="26" t="n">
        <f aca="false">IF(K$15-$C23+1&lt;1,0,INDEX($D$16:$O$16,1,MIN(12,K$15-$C23+1)))</f>
        <v>83333</v>
      </c>
      <c r="L23" s="26" t="n">
        <f aca="false">IF(L$15-$C23+1&lt;1,0,INDEX($D$16:$O$16,1,MIN(12,L$15-$C23+1)))</f>
        <v>83333</v>
      </c>
      <c r="M23" s="26" t="n">
        <f aca="false">IF(M$15-$C23+1&lt;1,0,INDEX($D$16:$O$16,1,MIN(12,M$15-$C23+1)))</f>
        <v>83333</v>
      </c>
      <c r="N23" s="26" t="n">
        <f aca="false">IF(N$15-$C23+1&lt;1,0,INDEX($D$16:$O$16,1,MIN(12,N$15-$C23+1)))</f>
        <v>83333</v>
      </c>
      <c r="O23" s="26" t="n">
        <f aca="false">IF(O$15-$C23+1&lt;1,0,INDEX($D$16:$O$16,1,MIN(12,O$15-$C23+1)))</f>
        <v>83333</v>
      </c>
      <c r="P23" s="27" t="n">
        <f aca="false">SUM(D23:O23)</f>
        <v>766666</v>
      </c>
      <c r="Q23" s="28" t="n">
        <f aca="false">IF($C23&lt;1,165000,(13-$C23)/12*165000)</f>
        <v>165000</v>
      </c>
    </row>
    <row r="24" customFormat="false" ht="15" hidden="false" customHeight="false" outlineLevel="0" collapsed="false">
      <c r="A24" s="17" t="s">
        <v>46</v>
      </c>
      <c r="B24" s="18" t="s">
        <v>47</v>
      </c>
      <c r="C24" s="19" t="n">
        <v>1</v>
      </c>
      <c r="D24" s="20" t="n">
        <f aca="false">IF(D$15-$C24+1&lt;1,0,INDEX($D$16:$O$16,1,MIN(12,D$15-$C24+1)))</f>
        <v>0</v>
      </c>
      <c r="E24" s="20" t="n">
        <f aca="false">IF(E$15-$C24+1&lt;1,0,INDEX($D$16:$O$16,1,MIN(12,E$15-$C24+1)))</f>
        <v>0</v>
      </c>
      <c r="F24" s="20" t="n">
        <f aca="false">IF(F$15-$C24+1&lt;1,0,INDEX($D$16:$O$16,1,MIN(12,F$15-$C24+1)))</f>
        <v>0</v>
      </c>
      <c r="G24" s="20" t="n">
        <f aca="false">IF(G$15-$C24+1&lt;1,0,INDEX($D$16:$O$16,1,MIN(12,G$15-$C24+1)))</f>
        <v>41667</v>
      </c>
      <c r="H24" s="20" t="n">
        <f aca="false">IF(H$15-$C24+1&lt;1,0,INDEX($D$16:$O$16,1,MIN(12,H$15-$C24+1)))</f>
        <v>41667</v>
      </c>
      <c r="I24" s="20" t="n">
        <f aca="false">IF(I$15-$C24+1&lt;1,0,INDEX($D$16:$O$16,1,MIN(12,I$15-$C24+1)))</f>
        <v>41667</v>
      </c>
      <c r="J24" s="20" t="n">
        <f aca="false">IF(J$15-$C24+1&lt;1,0,INDEX($D$16:$O$16,1,MIN(12,J$15-$C24+1)))</f>
        <v>75000</v>
      </c>
      <c r="K24" s="20" t="n">
        <f aca="false">IF(K$15-$C24+1&lt;1,0,INDEX($D$16:$O$16,1,MIN(12,K$15-$C24+1)))</f>
        <v>75000</v>
      </c>
      <c r="L24" s="20" t="n">
        <f aca="false">IF(L$15-$C24+1&lt;1,0,INDEX($D$16:$O$16,1,MIN(12,L$15-$C24+1)))</f>
        <v>75000</v>
      </c>
      <c r="M24" s="20" t="n">
        <f aca="false">IF(M$15-$C24+1&lt;1,0,INDEX($D$16:$O$16,1,MIN(12,M$15-$C24+1)))</f>
        <v>83333</v>
      </c>
      <c r="N24" s="20" t="n">
        <f aca="false">IF(N$15-$C24+1&lt;1,0,INDEX($D$16:$O$16,1,MIN(12,N$15-$C24+1)))</f>
        <v>83333</v>
      </c>
      <c r="O24" s="20" t="n">
        <f aca="false">IF(O$15-$C24+1&lt;1,0,INDEX($D$16:$O$16,1,MIN(12,O$15-$C24+1)))</f>
        <v>83333</v>
      </c>
      <c r="P24" s="21" t="n">
        <f aca="false">SUM(D24:O24)</f>
        <v>600000</v>
      </c>
      <c r="Q24" s="22" t="n">
        <f aca="false">IF($C24&lt;1,165000,(13-$C24)/12*165000)</f>
        <v>165000</v>
      </c>
    </row>
    <row r="25" customFormat="false" ht="15" hidden="false" customHeight="false" outlineLevel="0" collapsed="false">
      <c r="A25" s="23" t="s">
        <v>48</v>
      </c>
      <c r="B25" s="24" t="s">
        <v>47</v>
      </c>
      <c r="C25" s="25" t="n">
        <v>1</v>
      </c>
      <c r="D25" s="26" t="n">
        <f aca="false">IF(D$15-$C25+1&lt;1,0,INDEX($D$16:$O$16,1,MIN(12,D$15-$C25+1)))</f>
        <v>0</v>
      </c>
      <c r="E25" s="26" t="n">
        <f aca="false">IF(E$15-$C25+1&lt;1,0,INDEX($D$16:$O$16,1,MIN(12,E$15-$C25+1)))</f>
        <v>0</v>
      </c>
      <c r="F25" s="26" t="n">
        <f aca="false">IF(F$15-$C25+1&lt;1,0,INDEX($D$16:$O$16,1,MIN(12,F$15-$C25+1)))</f>
        <v>0</v>
      </c>
      <c r="G25" s="26" t="n">
        <f aca="false">IF(G$15-$C25+1&lt;1,0,INDEX($D$16:$O$16,1,MIN(12,G$15-$C25+1)))</f>
        <v>41667</v>
      </c>
      <c r="H25" s="26" t="n">
        <f aca="false">IF(H$15-$C25+1&lt;1,0,INDEX($D$16:$O$16,1,MIN(12,H$15-$C25+1)))</f>
        <v>41667</v>
      </c>
      <c r="I25" s="26" t="n">
        <f aca="false">IF(I$15-$C25+1&lt;1,0,INDEX($D$16:$O$16,1,MIN(12,I$15-$C25+1)))</f>
        <v>41667</v>
      </c>
      <c r="J25" s="26" t="n">
        <f aca="false">IF(J$15-$C25+1&lt;1,0,INDEX($D$16:$O$16,1,MIN(12,J$15-$C25+1)))</f>
        <v>75000</v>
      </c>
      <c r="K25" s="26" t="n">
        <f aca="false">IF(K$15-$C25+1&lt;1,0,INDEX($D$16:$O$16,1,MIN(12,K$15-$C25+1)))</f>
        <v>75000</v>
      </c>
      <c r="L25" s="26" t="n">
        <f aca="false">IF(L$15-$C25+1&lt;1,0,INDEX($D$16:$O$16,1,MIN(12,L$15-$C25+1)))</f>
        <v>75000</v>
      </c>
      <c r="M25" s="26" t="n">
        <f aca="false">IF(M$15-$C25+1&lt;1,0,INDEX($D$16:$O$16,1,MIN(12,M$15-$C25+1)))</f>
        <v>83333</v>
      </c>
      <c r="N25" s="26" t="n">
        <f aca="false">IF(N$15-$C25+1&lt;1,0,INDEX($D$16:$O$16,1,MIN(12,N$15-$C25+1)))</f>
        <v>83333</v>
      </c>
      <c r="O25" s="26" t="n">
        <f aca="false">IF(O$15-$C25+1&lt;1,0,INDEX($D$16:$O$16,1,MIN(12,O$15-$C25+1)))</f>
        <v>83333</v>
      </c>
      <c r="P25" s="27" t="n">
        <f aca="false">SUM(D25:O25)</f>
        <v>600000</v>
      </c>
      <c r="Q25" s="28" t="n">
        <f aca="false">IF($C25&lt;1,165000,(13-$C25)/12*165000)</f>
        <v>165000</v>
      </c>
    </row>
    <row r="26" customFormat="false" ht="15" hidden="false" customHeight="false" outlineLevel="0" collapsed="false">
      <c r="A26" s="17" t="s">
        <v>49</v>
      </c>
      <c r="B26" s="18" t="s">
        <v>47</v>
      </c>
      <c r="C26" s="19" t="n">
        <v>2</v>
      </c>
      <c r="D26" s="20" t="n">
        <f aca="false">IF(D$15-$C26+1&lt;1,0,INDEX($D$16:$O$16,1,MIN(12,D$15-$C26+1)))</f>
        <v>0</v>
      </c>
      <c r="E26" s="20" t="n">
        <f aca="false">IF(E$15-$C26+1&lt;1,0,INDEX($D$16:$O$16,1,MIN(12,E$15-$C26+1)))</f>
        <v>0</v>
      </c>
      <c r="F26" s="20" t="n">
        <f aca="false">IF(F$15-$C26+1&lt;1,0,INDEX($D$16:$O$16,1,MIN(12,F$15-$C26+1)))</f>
        <v>0</v>
      </c>
      <c r="G26" s="20" t="n">
        <f aca="false">IF(G$15-$C26+1&lt;1,0,INDEX($D$16:$O$16,1,MIN(12,G$15-$C26+1)))</f>
        <v>0</v>
      </c>
      <c r="H26" s="20" t="n">
        <f aca="false">IF(H$15-$C26+1&lt;1,0,INDEX($D$16:$O$16,1,MIN(12,H$15-$C26+1)))</f>
        <v>41667</v>
      </c>
      <c r="I26" s="20" t="n">
        <f aca="false">IF(I$15-$C26+1&lt;1,0,INDEX($D$16:$O$16,1,MIN(12,I$15-$C26+1)))</f>
        <v>41667</v>
      </c>
      <c r="J26" s="20" t="n">
        <f aca="false">IF(J$15-$C26+1&lt;1,0,INDEX($D$16:$O$16,1,MIN(12,J$15-$C26+1)))</f>
        <v>41667</v>
      </c>
      <c r="K26" s="20" t="n">
        <f aca="false">IF(K$15-$C26+1&lt;1,0,INDEX($D$16:$O$16,1,MIN(12,K$15-$C26+1)))</f>
        <v>75000</v>
      </c>
      <c r="L26" s="20" t="n">
        <f aca="false">IF(L$15-$C26+1&lt;1,0,INDEX($D$16:$O$16,1,MIN(12,L$15-$C26+1)))</f>
        <v>75000</v>
      </c>
      <c r="M26" s="20" t="n">
        <f aca="false">IF(M$15-$C26+1&lt;1,0,INDEX($D$16:$O$16,1,MIN(12,M$15-$C26+1)))</f>
        <v>75000</v>
      </c>
      <c r="N26" s="20" t="n">
        <f aca="false">IF(N$15-$C26+1&lt;1,0,INDEX($D$16:$O$16,1,MIN(12,N$15-$C26+1)))</f>
        <v>83333</v>
      </c>
      <c r="O26" s="20" t="n">
        <f aca="false">IF(O$15-$C26+1&lt;1,0,INDEX($D$16:$O$16,1,MIN(12,O$15-$C26+1)))</f>
        <v>83333</v>
      </c>
      <c r="P26" s="21" t="n">
        <f aca="false">SUM(D26:O26)</f>
        <v>516667</v>
      </c>
      <c r="Q26" s="22" t="n">
        <f aca="false">IF($C26&lt;1,165000,(13-$C26)/12*165000)</f>
        <v>151250</v>
      </c>
    </row>
    <row r="27" customFormat="false" ht="15" hidden="false" customHeight="false" outlineLevel="0" collapsed="false">
      <c r="A27" s="23" t="s">
        <v>50</v>
      </c>
      <c r="B27" s="24" t="s">
        <v>47</v>
      </c>
      <c r="C27" s="25" t="n">
        <v>2</v>
      </c>
      <c r="D27" s="26" t="n">
        <f aca="false">IF(D$15-$C27+1&lt;1,0,INDEX($D$16:$O$16,1,MIN(12,D$15-$C27+1)))</f>
        <v>0</v>
      </c>
      <c r="E27" s="26" t="n">
        <f aca="false">IF(E$15-$C27+1&lt;1,0,INDEX($D$16:$O$16,1,MIN(12,E$15-$C27+1)))</f>
        <v>0</v>
      </c>
      <c r="F27" s="26" t="n">
        <f aca="false">IF(F$15-$C27+1&lt;1,0,INDEX($D$16:$O$16,1,MIN(12,F$15-$C27+1)))</f>
        <v>0</v>
      </c>
      <c r="G27" s="26" t="n">
        <f aca="false">IF(G$15-$C27+1&lt;1,0,INDEX($D$16:$O$16,1,MIN(12,G$15-$C27+1)))</f>
        <v>0</v>
      </c>
      <c r="H27" s="26" t="n">
        <f aca="false">IF(H$15-$C27+1&lt;1,0,INDEX($D$16:$O$16,1,MIN(12,H$15-$C27+1)))</f>
        <v>41667</v>
      </c>
      <c r="I27" s="26" t="n">
        <f aca="false">IF(I$15-$C27+1&lt;1,0,INDEX($D$16:$O$16,1,MIN(12,I$15-$C27+1)))</f>
        <v>41667</v>
      </c>
      <c r="J27" s="26" t="n">
        <f aca="false">IF(J$15-$C27+1&lt;1,0,INDEX($D$16:$O$16,1,MIN(12,J$15-$C27+1)))</f>
        <v>41667</v>
      </c>
      <c r="K27" s="26" t="n">
        <f aca="false">IF(K$15-$C27+1&lt;1,0,INDEX($D$16:$O$16,1,MIN(12,K$15-$C27+1)))</f>
        <v>75000</v>
      </c>
      <c r="L27" s="26" t="n">
        <f aca="false">IF(L$15-$C27+1&lt;1,0,INDEX($D$16:$O$16,1,MIN(12,L$15-$C27+1)))</f>
        <v>75000</v>
      </c>
      <c r="M27" s="26" t="n">
        <f aca="false">IF(M$15-$C27+1&lt;1,0,INDEX($D$16:$O$16,1,MIN(12,M$15-$C27+1)))</f>
        <v>75000</v>
      </c>
      <c r="N27" s="26" t="n">
        <f aca="false">IF(N$15-$C27+1&lt;1,0,INDEX($D$16:$O$16,1,MIN(12,N$15-$C27+1)))</f>
        <v>83333</v>
      </c>
      <c r="O27" s="26" t="n">
        <f aca="false">IF(O$15-$C27+1&lt;1,0,INDEX($D$16:$O$16,1,MIN(12,O$15-$C27+1)))</f>
        <v>83333</v>
      </c>
      <c r="P27" s="27" t="n">
        <f aca="false">SUM(D27:O27)</f>
        <v>516667</v>
      </c>
      <c r="Q27" s="28" t="n">
        <f aca="false">IF($C27&lt;1,165000,(13-$C27)/12*165000)</f>
        <v>151250</v>
      </c>
    </row>
    <row r="28" customFormat="false" ht="15" hidden="false" customHeight="false" outlineLevel="0" collapsed="false">
      <c r="A28" s="17" t="s">
        <v>51</v>
      </c>
      <c r="B28" s="18" t="s">
        <v>47</v>
      </c>
      <c r="C28" s="19" t="n">
        <v>3</v>
      </c>
      <c r="D28" s="20" t="n">
        <f aca="false">IF(D$15-$C28+1&lt;1,0,INDEX($D$16:$O$16,1,MIN(12,D$15-$C28+1)))</f>
        <v>0</v>
      </c>
      <c r="E28" s="20" t="n">
        <f aca="false">IF(E$15-$C28+1&lt;1,0,INDEX($D$16:$O$16,1,MIN(12,E$15-$C28+1)))</f>
        <v>0</v>
      </c>
      <c r="F28" s="20" t="n">
        <f aca="false">IF(F$15-$C28+1&lt;1,0,INDEX($D$16:$O$16,1,MIN(12,F$15-$C28+1)))</f>
        <v>0</v>
      </c>
      <c r="G28" s="20" t="n">
        <f aca="false">IF(G$15-$C28+1&lt;1,0,INDEX($D$16:$O$16,1,MIN(12,G$15-$C28+1)))</f>
        <v>0</v>
      </c>
      <c r="H28" s="20" t="n">
        <f aca="false">IF(H$15-$C28+1&lt;1,0,INDEX($D$16:$O$16,1,MIN(12,H$15-$C28+1)))</f>
        <v>0</v>
      </c>
      <c r="I28" s="20" t="n">
        <f aca="false">IF(I$15-$C28+1&lt;1,0,INDEX($D$16:$O$16,1,MIN(12,I$15-$C28+1)))</f>
        <v>41667</v>
      </c>
      <c r="J28" s="20" t="n">
        <f aca="false">IF(J$15-$C28+1&lt;1,0,INDEX($D$16:$O$16,1,MIN(12,J$15-$C28+1)))</f>
        <v>41667</v>
      </c>
      <c r="K28" s="20" t="n">
        <f aca="false">IF(K$15-$C28+1&lt;1,0,INDEX($D$16:$O$16,1,MIN(12,K$15-$C28+1)))</f>
        <v>41667</v>
      </c>
      <c r="L28" s="20" t="n">
        <f aca="false">IF(L$15-$C28+1&lt;1,0,INDEX($D$16:$O$16,1,MIN(12,L$15-$C28+1)))</f>
        <v>75000</v>
      </c>
      <c r="M28" s="20" t="n">
        <f aca="false">IF(M$15-$C28+1&lt;1,0,INDEX($D$16:$O$16,1,MIN(12,M$15-$C28+1)))</f>
        <v>75000</v>
      </c>
      <c r="N28" s="20" t="n">
        <f aca="false">IF(N$15-$C28+1&lt;1,0,INDEX($D$16:$O$16,1,MIN(12,N$15-$C28+1)))</f>
        <v>75000</v>
      </c>
      <c r="O28" s="20" t="n">
        <f aca="false">IF(O$15-$C28+1&lt;1,0,INDEX($D$16:$O$16,1,MIN(12,O$15-$C28+1)))</f>
        <v>83333</v>
      </c>
      <c r="P28" s="21" t="n">
        <f aca="false">SUM(D28:O28)</f>
        <v>433334</v>
      </c>
      <c r="Q28" s="22" t="n">
        <f aca="false">IF($C28&lt;1,165000,(13-$C28)/12*165000)</f>
        <v>137500</v>
      </c>
    </row>
    <row r="29" customFormat="false" ht="15" hidden="false" customHeight="false" outlineLevel="0" collapsed="false">
      <c r="A29" s="23" t="s">
        <v>52</v>
      </c>
      <c r="B29" s="24" t="s">
        <v>47</v>
      </c>
      <c r="C29" s="25" t="n">
        <v>4</v>
      </c>
      <c r="D29" s="26" t="n">
        <f aca="false">IF(D$15-$C29+1&lt;1,0,INDEX($D$16:$O$16,1,MIN(12,D$15-$C29+1)))</f>
        <v>0</v>
      </c>
      <c r="E29" s="26" t="n">
        <f aca="false">IF(E$15-$C29+1&lt;1,0,INDEX($D$16:$O$16,1,MIN(12,E$15-$C29+1)))</f>
        <v>0</v>
      </c>
      <c r="F29" s="26" t="n">
        <f aca="false">IF(F$15-$C29+1&lt;1,0,INDEX($D$16:$O$16,1,MIN(12,F$15-$C29+1)))</f>
        <v>0</v>
      </c>
      <c r="G29" s="26" t="n">
        <f aca="false">IF(G$15-$C29+1&lt;1,0,INDEX($D$16:$O$16,1,MIN(12,G$15-$C29+1)))</f>
        <v>0</v>
      </c>
      <c r="H29" s="26" t="n">
        <f aca="false">IF(H$15-$C29+1&lt;1,0,INDEX($D$16:$O$16,1,MIN(12,H$15-$C29+1)))</f>
        <v>0</v>
      </c>
      <c r="I29" s="26" t="n">
        <f aca="false">IF(I$15-$C29+1&lt;1,0,INDEX($D$16:$O$16,1,MIN(12,I$15-$C29+1)))</f>
        <v>0</v>
      </c>
      <c r="J29" s="26" t="n">
        <f aca="false">IF(J$15-$C29+1&lt;1,0,INDEX($D$16:$O$16,1,MIN(12,J$15-$C29+1)))</f>
        <v>41667</v>
      </c>
      <c r="K29" s="26" t="n">
        <f aca="false">IF(K$15-$C29+1&lt;1,0,INDEX($D$16:$O$16,1,MIN(12,K$15-$C29+1)))</f>
        <v>41667</v>
      </c>
      <c r="L29" s="26" t="n">
        <f aca="false">IF(L$15-$C29+1&lt;1,0,INDEX($D$16:$O$16,1,MIN(12,L$15-$C29+1)))</f>
        <v>41667</v>
      </c>
      <c r="M29" s="26" t="n">
        <f aca="false">IF(M$15-$C29+1&lt;1,0,INDEX($D$16:$O$16,1,MIN(12,M$15-$C29+1)))</f>
        <v>75000</v>
      </c>
      <c r="N29" s="26" t="n">
        <f aca="false">IF(N$15-$C29+1&lt;1,0,INDEX($D$16:$O$16,1,MIN(12,N$15-$C29+1)))</f>
        <v>75000</v>
      </c>
      <c r="O29" s="26" t="n">
        <f aca="false">IF(O$15-$C29+1&lt;1,0,INDEX($D$16:$O$16,1,MIN(12,O$15-$C29+1)))</f>
        <v>75000</v>
      </c>
      <c r="P29" s="27" t="n">
        <f aca="false">SUM(D29:O29)</f>
        <v>350001</v>
      </c>
      <c r="Q29" s="28" t="n">
        <f aca="false">IF($C29&lt;1,165000,(13-$C29)/12*165000)</f>
        <v>123750</v>
      </c>
    </row>
    <row r="30" customFormat="false" ht="15" hidden="false" customHeight="false" outlineLevel="0" collapsed="false">
      <c r="A30" s="17" t="s">
        <v>53</v>
      </c>
      <c r="B30" s="18" t="s">
        <v>47</v>
      </c>
      <c r="C30" s="19" t="n">
        <v>6</v>
      </c>
      <c r="D30" s="20" t="n">
        <f aca="false">IF(D$15-$C30+1&lt;1,0,INDEX($D$16:$O$16,1,MIN(12,D$15-$C30+1)))</f>
        <v>0</v>
      </c>
      <c r="E30" s="20" t="n">
        <f aca="false">IF(E$15-$C30+1&lt;1,0,INDEX($D$16:$O$16,1,MIN(12,E$15-$C30+1)))</f>
        <v>0</v>
      </c>
      <c r="F30" s="20" t="n">
        <f aca="false">IF(F$15-$C30+1&lt;1,0,INDEX($D$16:$O$16,1,MIN(12,F$15-$C30+1)))</f>
        <v>0</v>
      </c>
      <c r="G30" s="20" t="n">
        <f aca="false">IF(G$15-$C30+1&lt;1,0,INDEX($D$16:$O$16,1,MIN(12,G$15-$C30+1)))</f>
        <v>0</v>
      </c>
      <c r="H30" s="20" t="n">
        <f aca="false">IF(H$15-$C30+1&lt;1,0,INDEX($D$16:$O$16,1,MIN(12,H$15-$C30+1)))</f>
        <v>0</v>
      </c>
      <c r="I30" s="20" t="n">
        <f aca="false">IF(I$15-$C30+1&lt;1,0,INDEX($D$16:$O$16,1,MIN(12,I$15-$C30+1)))</f>
        <v>0</v>
      </c>
      <c r="J30" s="20" t="n">
        <f aca="false">IF(J$15-$C30+1&lt;1,0,INDEX($D$16:$O$16,1,MIN(12,J$15-$C30+1)))</f>
        <v>0</v>
      </c>
      <c r="K30" s="20" t="n">
        <f aca="false">IF(K$15-$C30+1&lt;1,0,INDEX($D$16:$O$16,1,MIN(12,K$15-$C30+1)))</f>
        <v>0</v>
      </c>
      <c r="L30" s="20" t="n">
        <f aca="false">IF(L$15-$C30+1&lt;1,0,INDEX($D$16:$O$16,1,MIN(12,L$15-$C30+1)))</f>
        <v>41667</v>
      </c>
      <c r="M30" s="20" t="n">
        <f aca="false">IF(M$15-$C30+1&lt;1,0,INDEX($D$16:$O$16,1,MIN(12,M$15-$C30+1)))</f>
        <v>41667</v>
      </c>
      <c r="N30" s="20" t="n">
        <f aca="false">IF(N$15-$C30+1&lt;1,0,INDEX($D$16:$O$16,1,MIN(12,N$15-$C30+1)))</f>
        <v>41667</v>
      </c>
      <c r="O30" s="20" t="n">
        <f aca="false">IF(O$15-$C30+1&lt;1,0,INDEX($D$16:$O$16,1,MIN(12,O$15-$C30+1)))</f>
        <v>75000</v>
      </c>
      <c r="P30" s="21" t="n">
        <f aca="false">SUM(D30:O30)</f>
        <v>200001</v>
      </c>
      <c r="Q30" s="22" t="n">
        <f aca="false">IF($C30&lt;1,165000,(13-$C30)/12*165000)</f>
        <v>96250</v>
      </c>
    </row>
    <row r="31" customFormat="false" ht="15" hidden="false" customHeight="false" outlineLevel="0" collapsed="false">
      <c r="A31" s="23" t="s">
        <v>54</v>
      </c>
      <c r="B31" s="24" t="s">
        <v>47</v>
      </c>
      <c r="C31" s="25" t="n">
        <v>7</v>
      </c>
      <c r="D31" s="26" t="n">
        <f aca="false">IF(D$15-$C31+1&lt;1,0,INDEX($D$16:$O$16,1,MIN(12,D$15-$C31+1)))</f>
        <v>0</v>
      </c>
      <c r="E31" s="26" t="n">
        <f aca="false">IF(E$15-$C31+1&lt;1,0,INDEX($D$16:$O$16,1,MIN(12,E$15-$C31+1)))</f>
        <v>0</v>
      </c>
      <c r="F31" s="26" t="n">
        <f aca="false">IF(F$15-$C31+1&lt;1,0,INDEX($D$16:$O$16,1,MIN(12,F$15-$C31+1)))</f>
        <v>0</v>
      </c>
      <c r="G31" s="26" t="n">
        <f aca="false">IF(G$15-$C31+1&lt;1,0,INDEX($D$16:$O$16,1,MIN(12,G$15-$C31+1)))</f>
        <v>0</v>
      </c>
      <c r="H31" s="26" t="n">
        <f aca="false">IF(H$15-$C31+1&lt;1,0,INDEX($D$16:$O$16,1,MIN(12,H$15-$C31+1)))</f>
        <v>0</v>
      </c>
      <c r="I31" s="26" t="n">
        <f aca="false">IF(I$15-$C31+1&lt;1,0,INDEX($D$16:$O$16,1,MIN(12,I$15-$C31+1)))</f>
        <v>0</v>
      </c>
      <c r="J31" s="26" t="n">
        <f aca="false">IF(J$15-$C31+1&lt;1,0,INDEX($D$16:$O$16,1,MIN(12,J$15-$C31+1)))</f>
        <v>0</v>
      </c>
      <c r="K31" s="26" t="n">
        <f aca="false">IF(K$15-$C31+1&lt;1,0,INDEX($D$16:$O$16,1,MIN(12,K$15-$C31+1)))</f>
        <v>0</v>
      </c>
      <c r="L31" s="26" t="n">
        <f aca="false">IF(L$15-$C31+1&lt;1,0,INDEX($D$16:$O$16,1,MIN(12,L$15-$C31+1)))</f>
        <v>0</v>
      </c>
      <c r="M31" s="26" t="n">
        <f aca="false">IF(M$15-$C31+1&lt;1,0,INDEX($D$16:$O$16,1,MIN(12,M$15-$C31+1)))</f>
        <v>41667</v>
      </c>
      <c r="N31" s="26" t="n">
        <f aca="false">IF(N$15-$C31+1&lt;1,0,INDEX($D$16:$O$16,1,MIN(12,N$15-$C31+1)))</f>
        <v>41667</v>
      </c>
      <c r="O31" s="26" t="n">
        <f aca="false">IF(O$15-$C31+1&lt;1,0,INDEX($D$16:$O$16,1,MIN(12,O$15-$C31+1)))</f>
        <v>41667</v>
      </c>
      <c r="P31" s="27" t="n">
        <f aca="false">SUM(D31:O31)</f>
        <v>125001</v>
      </c>
      <c r="Q31" s="28" t="n">
        <f aca="false">IF($C31&lt;1,165000,(13-$C31)/12*165000)</f>
        <v>82500</v>
      </c>
    </row>
    <row r="32" customFormat="false" ht="15" hidden="false" customHeight="false" outlineLevel="0" collapsed="false">
      <c r="A32" s="29" t="s">
        <v>55</v>
      </c>
      <c r="B32" s="30"/>
      <c r="C32" s="30"/>
      <c r="D32" s="31" t="n">
        <f aca="false">SUM(D20:D31)</f>
        <v>208333</v>
      </c>
      <c r="E32" s="31" t="n">
        <f aca="false">SUM(E20:E31)</f>
        <v>250000</v>
      </c>
      <c r="F32" s="31" t="n">
        <f aca="false">SUM(F20:F31)</f>
        <v>250000</v>
      </c>
      <c r="G32" s="31" t="n">
        <f aca="false">SUM(G20:G31)</f>
        <v>366667</v>
      </c>
      <c r="H32" s="31" t="n">
        <f aca="false">SUM(H20:H31)</f>
        <v>483334</v>
      </c>
      <c r="I32" s="31" t="n">
        <f aca="false">SUM(I20:I31)</f>
        <v>525001</v>
      </c>
      <c r="J32" s="31" t="n">
        <f aca="false">SUM(J20:J31)</f>
        <v>641667</v>
      </c>
      <c r="K32" s="31" t="n">
        <f aca="false">SUM(K20:K31)</f>
        <v>716666</v>
      </c>
      <c r="L32" s="31" t="n">
        <f aca="false">SUM(L20:L31)</f>
        <v>791666</v>
      </c>
      <c r="M32" s="31" t="n">
        <f aca="false">SUM(M20:M31)</f>
        <v>883332</v>
      </c>
      <c r="N32" s="31" t="n">
        <f aca="false">SUM(N20:N31)</f>
        <v>899998</v>
      </c>
      <c r="O32" s="31" t="n">
        <f aca="false">SUM(O20:O31)</f>
        <v>941664</v>
      </c>
      <c r="P32" s="32" t="n">
        <f aca="false">SUM(P20:P31)</f>
        <v>6958328</v>
      </c>
      <c r="Q32" s="32" t="n">
        <f aca="false">SUM(Q20:Q31)</f>
        <v>1732500</v>
      </c>
    </row>
    <row r="34" customFormat="false" ht="15" hidden="false" customHeight="false" outlineLevel="0" collapsed="false">
      <c r="A34" s="3" t="s">
        <v>56</v>
      </c>
    </row>
    <row r="35" customFormat="false" ht="15" hidden="false" customHeight="false" outlineLevel="0" collapsed="false">
      <c r="A35" s="33" t="s">
        <v>57</v>
      </c>
      <c r="B35" s="34" t="n">
        <f aca="false">P32</f>
        <v>6958328</v>
      </c>
    </row>
    <row r="36" customFormat="false" ht="15" hidden="false" customHeight="false" outlineLevel="0" collapsed="false">
      <c r="A36" s="33" t="s">
        <v>58</v>
      </c>
      <c r="B36" s="34" t="n">
        <f aca="false">-P32*$B$8</f>
        <v>-2087498.4</v>
      </c>
    </row>
    <row r="37" customFormat="false" ht="15" hidden="false" customHeight="false" outlineLevel="0" collapsed="false">
      <c r="A37" s="35" t="s">
        <v>59</v>
      </c>
      <c r="B37" s="36" t="n">
        <f aca="false">B35+B36</f>
        <v>4870829.6</v>
      </c>
    </row>
    <row r="38" customFormat="false" ht="15" hidden="false" customHeight="false" outlineLevel="0" collapsed="false">
      <c r="A38" s="33" t="s">
        <v>60</v>
      </c>
      <c r="B38" s="37" t="n">
        <f aca="false">B37/$B$6</f>
        <v>40.5902466666667</v>
      </c>
    </row>
    <row r="39" customFormat="false" ht="15" hidden="false" customHeight="false" outlineLevel="0" collapsed="false">
      <c r="A39" s="33" t="s">
        <v>61</v>
      </c>
      <c r="B39" s="34" t="n">
        <f aca="false">$B$9</f>
        <v>1000000</v>
      </c>
    </row>
    <row r="40" customFormat="false" ht="15" hidden="false" customHeight="false" outlineLevel="0" collapsed="false">
      <c r="A40" s="33" t="s">
        <v>62</v>
      </c>
      <c r="B40" s="34" t="n">
        <f aca="false">$B$10</f>
        <v>-70000</v>
      </c>
    </row>
    <row r="41" customFormat="false" ht="15" hidden="false" customHeight="false" outlineLevel="0" collapsed="false">
      <c r="A41" s="35" t="s">
        <v>63</v>
      </c>
      <c r="B41" s="36" t="n">
        <f aca="false">B37+B39+B40</f>
        <v>5800829.6</v>
      </c>
    </row>
    <row r="42" customFormat="false" ht="15" hidden="false" customHeight="false" outlineLevel="0" collapsed="false">
      <c r="A42" s="33" t="s">
        <v>4</v>
      </c>
      <c r="B42" s="34" t="n">
        <f aca="false">$B$5</f>
        <v>1200000</v>
      </c>
    </row>
    <row r="43" customFormat="false" ht="15" hidden="false" customHeight="false" outlineLevel="0" collapsed="false">
      <c r="A43" s="35" t="s">
        <v>64</v>
      </c>
      <c r="B43" s="36" t="n">
        <f aca="false">B41+B42</f>
        <v>7000829.6</v>
      </c>
    </row>
    <row r="44" customFormat="false" ht="15" hidden="false" customHeight="false" outlineLevel="0" collapsed="false">
      <c r="A44" s="33" t="s">
        <v>65</v>
      </c>
      <c r="B44" s="34" t="n">
        <f aca="false">O32*12</f>
        <v>11299968</v>
      </c>
    </row>
    <row r="45" customFormat="false" ht="15" hidden="false" customHeight="false" outlineLevel="0" collapsed="false">
      <c r="A45" s="33" t="s">
        <v>66</v>
      </c>
      <c r="B45" s="34" t="n">
        <f aca="false">Q32+B37*0.165</f>
        <v>2536186.884</v>
      </c>
    </row>
    <row r="46" customFormat="false" ht="15" hidden="false" customHeight="false" outlineLevel="0" collapsed="false">
      <c r="A46" s="11" t="s">
        <v>67</v>
      </c>
    </row>
    <row r="48" customFormat="false" ht="15" hidden="false" customHeight="false" outlineLevel="0" collapsed="false">
      <c r="A48" s="6" t="s">
        <v>68</v>
      </c>
    </row>
    <row r="49" customFormat="false" ht="15" hidden="false" customHeight="false" outlineLevel="0" collapsed="false">
      <c r="A49" s="11" t="s">
        <v>69</v>
      </c>
    </row>
    <row r="50" customFormat="false" ht="15" hidden="false" customHeight="false" outlineLevel="0" collapsed="false">
      <c r="A50" s="11" t="s">
        <v>70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30"/>
    <col collapsed="false" customWidth="true" hidden="false" outlineLevel="0" max="3" min="3" style="0" width="78"/>
  </cols>
  <sheetData>
    <row r="1" customFormat="false" ht="15" hidden="false" customHeight="false" outlineLevel="0" collapsed="false">
      <c r="A1" s="38" t="s">
        <v>71</v>
      </c>
    </row>
    <row r="2" customFormat="false" ht="15" hidden="false" customHeight="false" outlineLevel="0" collapsed="false">
      <c r="A2" s="2" t="s">
        <v>72</v>
      </c>
    </row>
    <row r="4" customFormat="false" ht="15" hidden="false" customHeight="false" outlineLevel="0" collapsed="false">
      <c r="A4" s="39" t="s">
        <v>73</v>
      </c>
      <c r="B4" s="39" t="s">
        <v>74</v>
      </c>
      <c r="C4" s="40" t="s">
        <v>75</v>
      </c>
    </row>
    <row r="5" customFormat="false" ht="15" hidden="false" customHeight="false" outlineLevel="0" collapsed="false">
      <c r="A5" s="41" t="s">
        <v>76</v>
      </c>
      <c r="B5" s="41" t="s">
        <v>77</v>
      </c>
      <c r="C5" s="42" t="s">
        <v>78</v>
      </c>
    </row>
    <row r="6" customFormat="false" ht="15" hidden="false" customHeight="false" outlineLevel="0" collapsed="false">
      <c r="A6" s="4" t="s">
        <v>79</v>
      </c>
      <c r="B6" s="4" t="s">
        <v>80</v>
      </c>
      <c r="C6" s="43" t="s">
        <v>81</v>
      </c>
    </row>
    <row r="7" customFormat="false" ht="15" hidden="false" customHeight="false" outlineLevel="0" collapsed="false">
      <c r="A7" s="41" t="s">
        <v>82</v>
      </c>
      <c r="B7" s="41" t="s">
        <v>83</v>
      </c>
      <c r="C7" s="42" t="s">
        <v>84</v>
      </c>
    </row>
    <row r="8" customFormat="false" ht="15" hidden="false" customHeight="false" outlineLevel="0" collapsed="false">
      <c r="A8" s="4" t="s">
        <v>85</v>
      </c>
      <c r="B8" s="4" t="s">
        <v>86</v>
      </c>
      <c r="C8" s="43" t="s">
        <v>87</v>
      </c>
    </row>
    <row r="9" customFormat="false" ht="15" hidden="false" customHeight="false" outlineLevel="0" collapsed="false">
      <c r="A9" s="41" t="s">
        <v>88</v>
      </c>
      <c r="B9" s="41" t="s">
        <v>89</v>
      </c>
      <c r="C9" s="42" t="s">
        <v>90</v>
      </c>
    </row>
    <row r="10" customFormat="false" ht="15" hidden="false" customHeight="false" outlineLevel="0" collapsed="false">
      <c r="A10" s="4" t="s">
        <v>91</v>
      </c>
      <c r="B10" s="4" t="s">
        <v>92</v>
      </c>
      <c r="C10" s="43" t="s">
        <v>93</v>
      </c>
    </row>
    <row r="11" customFormat="false" ht="15" hidden="false" customHeight="false" outlineLevel="0" collapsed="false">
      <c r="A11" s="41" t="s">
        <v>94</v>
      </c>
      <c r="B11" s="41" t="s">
        <v>95</v>
      </c>
      <c r="C11" s="42" t="s">
        <v>96</v>
      </c>
    </row>
    <row r="12" customFormat="false" ht="15" hidden="false" customHeight="false" outlineLevel="0" collapsed="false">
      <c r="A12" s="4" t="s">
        <v>97</v>
      </c>
      <c r="B12" s="4" t="s">
        <v>98</v>
      </c>
      <c r="C12" s="43" t="s">
        <v>99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5" min="2" style="0" width="15"/>
  </cols>
  <sheetData>
    <row r="1" customFormat="false" ht="16.15" hidden="false" customHeight="false" outlineLevel="0" collapsed="false">
      <c r="A1" s="1" t="s">
        <v>100</v>
      </c>
    </row>
    <row r="2" customFormat="false" ht="15" hidden="false" customHeight="false" outlineLevel="0" collapsed="false">
      <c r="A2" s="2" t="s">
        <v>101</v>
      </c>
    </row>
    <row r="4" customFormat="false" ht="15" hidden="false" customHeight="false" outlineLevel="0" collapsed="false">
      <c r="A4" s="3" t="s">
        <v>102</v>
      </c>
    </row>
    <row r="5" customFormat="false" ht="15" hidden="false" customHeight="false" outlineLevel="0" collapsed="false">
      <c r="A5" s="4" t="s">
        <v>8</v>
      </c>
      <c r="B5" s="8" t="n">
        <f aca="false">'Capacity Model'!B6</f>
        <v>120000</v>
      </c>
    </row>
    <row r="6" customFormat="false" ht="15" hidden="false" customHeight="false" outlineLevel="0" collapsed="false">
      <c r="A6" s="4" t="s">
        <v>103</v>
      </c>
      <c r="B6" s="8" t="n">
        <f aca="false">'Capacity Model'!F10</f>
        <v>600000</v>
      </c>
    </row>
    <row r="7" customFormat="false" ht="15" hidden="false" customHeight="false" outlineLevel="0" collapsed="false">
      <c r="A7" s="6" t="s">
        <v>104</v>
      </c>
      <c r="B7" s="44" t="n">
        <f aca="false">B6/B5</f>
        <v>5</v>
      </c>
    </row>
    <row r="9" customFormat="false" ht="15" hidden="false" customHeight="false" outlineLevel="0" collapsed="false">
      <c r="A9" s="3" t="s">
        <v>105</v>
      </c>
    </row>
    <row r="10" customFormat="false" ht="15" hidden="false" customHeight="false" outlineLevel="0" collapsed="false">
      <c r="A10" s="4" t="s">
        <v>106</v>
      </c>
      <c r="B10" s="45" t="n">
        <v>0.16</v>
      </c>
    </row>
    <row r="11" customFormat="false" ht="15" hidden="false" customHeight="false" outlineLevel="0" collapsed="false">
      <c r="A11" s="4" t="s">
        <v>107</v>
      </c>
      <c r="B11" s="45" t="n">
        <v>0.27</v>
      </c>
    </row>
    <row r="12" customFormat="false" ht="15" hidden="false" customHeight="false" outlineLevel="0" collapsed="false">
      <c r="A12" s="4" t="s">
        <v>108</v>
      </c>
      <c r="B12" s="45" t="n">
        <v>0.81</v>
      </c>
    </row>
    <row r="13" customFormat="false" ht="15" hidden="false" customHeight="false" outlineLevel="0" collapsed="false">
      <c r="A13" s="6" t="s">
        <v>109</v>
      </c>
      <c r="B13" s="46" t="n">
        <f aca="false">B10*B11*B12</f>
        <v>0.034992</v>
      </c>
    </row>
    <row r="15" customFormat="false" ht="15" hidden="false" customHeight="false" outlineLevel="0" collapsed="false">
      <c r="A15" s="3" t="s">
        <v>110</v>
      </c>
    </row>
    <row r="16" customFormat="false" ht="15" hidden="false" customHeight="false" outlineLevel="0" collapsed="false">
      <c r="A16" s="4" t="s">
        <v>111</v>
      </c>
      <c r="B16" s="47" t="n">
        <f aca="false">ROUNDUP(B7/B13,0)</f>
        <v>143</v>
      </c>
    </row>
    <row r="17" customFormat="false" ht="15" hidden="false" customHeight="false" outlineLevel="0" collapsed="false">
      <c r="A17" s="4" t="s">
        <v>112</v>
      </c>
      <c r="B17" s="48" t="n">
        <v>147</v>
      </c>
    </row>
    <row r="18" customFormat="false" ht="15" hidden="false" customHeight="false" outlineLevel="0" collapsed="false">
      <c r="A18" s="4" t="s">
        <v>113</v>
      </c>
      <c r="B18" s="49" t="n">
        <f aca="false">B17/B16-1</f>
        <v>0.0279720279720279</v>
      </c>
    </row>
    <row r="19" customFormat="false" ht="15" hidden="false" customHeight="false" outlineLevel="0" collapsed="false">
      <c r="A19" s="4" t="s">
        <v>114</v>
      </c>
      <c r="B19" s="48" t="n">
        <v>48</v>
      </c>
    </row>
    <row r="21" customFormat="false" ht="15" hidden="false" customHeight="false" outlineLevel="0" collapsed="false">
      <c r="A21" s="3" t="s">
        <v>115</v>
      </c>
    </row>
    <row r="22" customFormat="false" ht="15" hidden="false" customHeight="false" outlineLevel="0" collapsed="false">
      <c r="A22" s="16" t="s">
        <v>116</v>
      </c>
      <c r="B22" s="13" t="s">
        <v>117</v>
      </c>
      <c r="C22" s="13" t="s">
        <v>118</v>
      </c>
      <c r="D22" s="13" t="s">
        <v>119</v>
      </c>
      <c r="E22" s="13" t="s">
        <v>120</v>
      </c>
    </row>
    <row r="23" customFormat="false" ht="15" hidden="false" customHeight="false" outlineLevel="0" collapsed="false">
      <c r="A23" s="50" t="s">
        <v>121</v>
      </c>
      <c r="B23" s="51" t="n">
        <f aca="false">B17</f>
        <v>147</v>
      </c>
      <c r="C23" s="52" t="n">
        <f aca="false">B23/4</f>
        <v>36.75</v>
      </c>
      <c r="D23" s="52" t="n">
        <f aca="false">B23/12</f>
        <v>12.25</v>
      </c>
      <c r="E23" s="52" t="n">
        <f aca="false">B23/$B$19</f>
        <v>3.0625</v>
      </c>
    </row>
    <row r="24" customFormat="false" ht="15" hidden="false" customHeight="false" outlineLevel="0" collapsed="false">
      <c r="A24" s="33" t="s">
        <v>122</v>
      </c>
      <c r="B24" s="53" t="n">
        <f aca="false">B23*$B$10</f>
        <v>23.52</v>
      </c>
      <c r="C24" s="54" t="n">
        <f aca="false">B24/4</f>
        <v>5.88</v>
      </c>
      <c r="D24" s="54" t="n">
        <f aca="false">B24/12</f>
        <v>1.96</v>
      </c>
      <c r="E24" s="54" t="n">
        <f aca="false">B24/$B$19</f>
        <v>0.49</v>
      </c>
    </row>
    <row r="25" customFormat="false" ht="15" hidden="false" customHeight="false" outlineLevel="0" collapsed="false">
      <c r="A25" s="50" t="s">
        <v>123</v>
      </c>
      <c r="B25" s="55" t="n">
        <f aca="false">B24*$B$11</f>
        <v>6.3504</v>
      </c>
      <c r="C25" s="52" t="n">
        <f aca="false">B25/4</f>
        <v>1.5876</v>
      </c>
      <c r="D25" s="52" t="n">
        <f aca="false">B25/12</f>
        <v>0.5292</v>
      </c>
      <c r="E25" s="52" t="n">
        <f aca="false">B25/$B$19</f>
        <v>0.1323</v>
      </c>
    </row>
    <row r="26" customFormat="false" ht="15" hidden="false" customHeight="false" outlineLevel="0" collapsed="false">
      <c r="A26" s="33" t="s">
        <v>124</v>
      </c>
      <c r="B26" s="53" t="n">
        <f aca="false">B25*$B$12</f>
        <v>5.143824</v>
      </c>
      <c r="C26" s="54" t="n">
        <f aca="false">B26/4</f>
        <v>1.285956</v>
      </c>
      <c r="D26" s="54" t="n">
        <f aca="false">B26/12</f>
        <v>0.428652</v>
      </c>
      <c r="E26" s="54" t="n">
        <f aca="false">B26/$B$19</f>
        <v>0.107163</v>
      </c>
    </row>
    <row r="27" customFormat="false" ht="15" hidden="false" customHeight="false" outlineLevel="0" collapsed="false">
      <c r="A27" s="29" t="s">
        <v>125</v>
      </c>
      <c r="B27" s="56" t="n">
        <f aca="false">B26*B5</f>
        <v>617258.88</v>
      </c>
      <c r="C27" s="57" t="s">
        <v>126</v>
      </c>
      <c r="D27" s="58" t="n">
        <f aca="false">B27-B6</f>
        <v>17258.88</v>
      </c>
      <c r="E27" s="59" t="s">
        <v>127</v>
      </c>
    </row>
    <row r="29" customFormat="false" ht="15" hidden="false" customHeight="false" outlineLevel="0" collapsed="false">
      <c r="A29" s="6" t="s">
        <v>128</v>
      </c>
    </row>
    <row r="30" customFormat="false" ht="15" hidden="false" customHeight="false" outlineLevel="0" collapsed="false">
      <c r="A30" s="2" t="s">
        <v>129</v>
      </c>
    </row>
    <row r="31" customFormat="false" ht="15" hidden="false" customHeight="false" outlineLevel="0" collapsed="false">
      <c r="A31" s="2" t="s">
        <v>130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2026-07-24T22:36:15Z</dcterms:created>
  <dc:creator>openpyxl</dc:creator>
  <dc:description/>
  <dc:language>en-US</dc:language>
  <cp:lastModifiedBy/>
  <dcterms:modified xsi:type="dcterms:W3CDTF">2026-07-24T22:36:15Z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